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<sst xmlns="http://schemas.openxmlformats.org/spreadsheetml/2006/main" count="628" uniqueCount="158">
  <si>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</si>
  <si>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</si>
  <si>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</si>
  <si>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</si>
  <si>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</si>
  <si>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</si>
  <si>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</si>
  <si>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</si>
  <si>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</si>
  <si>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</si>
  <si>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</si>
  <si>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</si>
  <si>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</si>
  <si>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</si>
  <si>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</si>
  <si>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</si>
  <si>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</si>
  <si>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</si>
  <si>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</si>
  <si>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</si>
  <si>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</si>
  <si>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</si>
  <si>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</si>
  <si>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</si>
  <si>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</si>
  <si>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</si>
  <si>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</si>
  <si>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</si>
  <si>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</si>
  <si>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</si>
  <si>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</si>
  <si>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</si>
  <si>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</si>
  <si>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</si>
  <si>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</si>
  <si>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</si>
  <si>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</si>
  <si>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</si>
  <si>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</si>
  <si>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</si>
  <si>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</si>
  <si>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</si>
  <si>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</si>
  <si>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</si>
  <si>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</si>
  <si>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</si>
  <si>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</si>
  <si>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</si>
  <si>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</si>
  <si>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</si>
  <si>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</si>
  <si>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</si>
  <si>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</si>
  <si>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</si>
  <si>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</si>
  <si>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</si>
  <si>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</si>
  <si>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</si>
  <si>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</si>
  <si>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</si>
  <si>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</si>
  <si>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</si>
  <si>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</si>
  <si>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</si>
  <si>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</si>
  <si>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</si>
  <si>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</si>
  <si>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</si>
  <si>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</si>
  <si>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</si>
  <si>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</si>
  <si>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</si>
  <si>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</si>
  <si>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</si>
  <si>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</si>
  <si>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</si>
  <si>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</si>
  <si>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</si>
  <si>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</si>
  <si>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</si>
  <si>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</si>
  <si>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</si>
  <si>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</si>
  <si>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</si>
  <si>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</si>
  <si>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</si>
  <si>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</si>
  <si>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</si>
  <si>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</si>
  <si>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</si>
  <si>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</si>
  <si>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</si>
  <si>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</si>
  <si>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</si>
  <si>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</si>
  <si>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</si>
  <si>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</si>
  <si>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</si>
  <si>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</si>
  <si>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</si>
  <si>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</si>
  <si>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</si>
  <si>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</si>
  <si>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</si>
  <si>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</si>
  <si>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</si>
  <si>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</si>
  <si>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</si>
  <si>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</si>
  <si>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</si>
  <si>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</si>
  <si>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</si>
  <si>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</si>
  <si>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</si>
  <si>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</si>
  <si>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</si>
  <si>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</si>
  <si>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</si>
  <si>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</si>
  <si>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</si>
  <si>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</si>
  <si>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</si>
  <si>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</si>
  <si>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</si>
  <si>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</si>
  <si>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</si>
  <si>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</si>
  <si>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</si>
  <si>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</si>
  <si>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</si>
  <si>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</si>
  <si>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</si>
  <si>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</si>
  <si>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</si>
  <si>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</si>
  <si>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</si>
  <si>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</si>
  <si>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</si>
  <si>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</si>
  <si>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</si>
  <si>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</si>
  <si>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</si>
  <si>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</si>
  <si>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</si>
  <si>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</si>
  <si>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</si>
  <si>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</si>
  <si>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</si>
  <si>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</si>
  <si>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</si>
  <si>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</si>
  <si>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</si>
  <si>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</si>
  <si>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</si>
  <si>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</si>
  <si>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</si>
  <si>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15.04.2016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</si>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</sst>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234389.68</v>
      </c>
      <c r="G8" s="15">
        <f aca="true" t="shared" si="0" ref="G8:G21">F8-E8</f>
        <v>-37285</v>
      </c>
      <c r="H8" s="38">
        <f>F8/E8*100</f>
        <v>86.275864942585</v>
      </c>
      <c r="I8" s="28">
        <f>F8-D8</f>
        <v>-606660.3200000001</v>
      </c>
      <c r="J8" s="28">
        <f>F8/D8*100</f>
        <v>27.868697461506446</v>
      </c>
      <c r="K8" s="15">
        <f>F8-198537.14</f>
        <v>35852.53999999998</v>
      </c>
      <c r="L8" s="15">
        <f>F8/198537.14*100</f>
        <v>118.05835422027333</v>
      </c>
      <c r="M8" s="15">
        <f>M9+M15+M18+M19+M20+M32+M17</f>
        <v>71360.49999999999</v>
      </c>
      <c r="N8" s="15">
        <f>N9+N15+N18+N19+N20+N32+N17</f>
        <v>24601.96999999998</v>
      </c>
      <c r="O8" s="15">
        <f>N8-M8</f>
        <v>-46758.530000000006</v>
      </c>
      <c r="P8" s="15">
        <f>N8/M8*100</f>
        <v>34.47561325943622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129018.58</v>
      </c>
      <c r="G9" s="36">
        <f t="shared" si="0"/>
        <v>-16764.689999999988</v>
      </c>
      <c r="H9" s="32">
        <f>F9/E9*100</f>
        <v>88.50026481090732</v>
      </c>
      <c r="I9" s="42">
        <f>F9-D9</f>
        <v>-330681.42</v>
      </c>
      <c r="J9" s="42">
        <f>F9/D9*100</f>
        <v>28.065821187731128</v>
      </c>
      <c r="K9" s="106">
        <f>F9-110765.65</f>
        <v>18252.930000000008</v>
      </c>
      <c r="L9" s="106">
        <f>F9/110765.65*100</f>
        <v>116.4788722857673</v>
      </c>
      <c r="M9" s="32">
        <f>E9-березень!E9</f>
        <v>39799.999999999985</v>
      </c>
      <c r="N9" s="178">
        <f>F9-березень!F9</f>
        <v>16736.759999999995</v>
      </c>
      <c r="O9" s="40">
        <f>N9-M9</f>
        <v>-23063.23999999999</v>
      </c>
      <c r="P9" s="42">
        <f>N9/M9*100</f>
        <v>42.0521608040201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113931.09</v>
      </c>
      <c r="G10" s="109">
        <f t="shared" si="0"/>
        <v>-16985.75</v>
      </c>
      <c r="H10" s="32">
        <f aca="true" t="shared" si="1" ref="H10:H31">F10/E10*100</f>
        <v>87.02554232136981</v>
      </c>
      <c r="I10" s="110">
        <f aca="true" t="shared" si="2" ref="I10:I32">F10-D10</f>
        <v>-297508.91000000003</v>
      </c>
      <c r="J10" s="110">
        <f aca="true" t="shared" si="3" ref="J10:J31">F10/D10*100</f>
        <v>27.69081518568929</v>
      </c>
      <c r="K10" s="112">
        <f>F10-98351.31</f>
        <v>15579.779999999999</v>
      </c>
      <c r="L10" s="112">
        <f>F10/98351.31*100</f>
        <v>115.84094812768635</v>
      </c>
      <c r="M10" s="111">
        <f>E10-березень!E10</f>
        <v>36300</v>
      </c>
      <c r="N10" s="179">
        <f>F10-березень!F10</f>
        <v>15466.709999999992</v>
      </c>
      <c r="O10" s="112">
        <f aca="true" t="shared" si="4" ref="O10:O32">N10-M10</f>
        <v>-20833.290000000008</v>
      </c>
      <c r="P10" s="42">
        <f aca="true" t="shared" si="5" ref="P10:P25">N10/M10*100</f>
        <v>42.608016528925596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8695.69</v>
      </c>
      <c r="G11" s="109">
        <f t="shared" si="0"/>
        <v>60.75</v>
      </c>
      <c r="H11" s="32">
        <f t="shared" si="1"/>
        <v>100.70353702515592</v>
      </c>
      <c r="I11" s="110">
        <f t="shared" si="2"/>
        <v>-14304.31</v>
      </c>
      <c r="J11" s="110">
        <f t="shared" si="3"/>
        <v>37.80734782608695</v>
      </c>
      <c r="K11" s="112">
        <f>F11-6301.46</f>
        <v>2394.2300000000005</v>
      </c>
      <c r="L11" s="112">
        <f>F11/6301.46*100</f>
        <v>137.99484563894717</v>
      </c>
      <c r="M11" s="111">
        <f>E11-березень!E11</f>
        <v>1550.000000000001</v>
      </c>
      <c r="N11" s="179">
        <f>F11-березень!F11</f>
        <v>618.5800000000008</v>
      </c>
      <c r="O11" s="112">
        <f t="shared" si="4"/>
        <v>-931.4200000000001</v>
      </c>
      <c r="P11" s="42">
        <f t="shared" si="5"/>
        <v>39.90838709677422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2596.71</v>
      </c>
      <c r="G12" s="109">
        <f t="shared" si="0"/>
        <v>906.1000000000001</v>
      </c>
      <c r="H12" s="32">
        <f t="shared" si="1"/>
        <v>153.59603929942446</v>
      </c>
      <c r="I12" s="110">
        <f t="shared" si="2"/>
        <v>-3903.29</v>
      </c>
      <c r="J12" s="110">
        <f t="shared" si="3"/>
        <v>39.949384615384616</v>
      </c>
      <c r="K12" s="112">
        <f>F12-1718.24</f>
        <v>878.47</v>
      </c>
      <c r="L12" s="112">
        <f>F12/1718.24*100</f>
        <v>151.1261523419313</v>
      </c>
      <c r="M12" s="111">
        <f>E12-березень!E12</f>
        <v>585</v>
      </c>
      <c r="N12" s="179">
        <f>F12-березень!F12</f>
        <v>217.24000000000024</v>
      </c>
      <c r="O12" s="112">
        <f t="shared" si="4"/>
        <v>-367.75999999999976</v>
      </c>
      <c r="P12" s="42">
        <f t="shared" si="5"/>
        <v>37.13504273504278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2605.28</v>
      </c>
      <c r="G13" s="109">
        <f t="shared" si="0"/>
        <v>-59.559999999999945</v>
      </c>
      <c r="H13" s="32">
        <f t="shared" si="1"/>
        <v>97.76496900376759</v>
      </c>
      <c r="I13" s="110">
        <f t="shared" si="2"/>
        <v>-9794.72</v>
      </c>
      <c r="J13" s="110">
        <f t="shared" si="3"/>
        <v>21.010322580645163</v>
      </c>
      <c r="K13" s="112">
        <f>F13-1662.77</f>
        <v>942.5100000000002</v>
      </c>
      <c r="L13" s="112">
        <f>F13/1662.77*100</f>
        <v>156.68312514659274</v>
      </c>
      <c r="M13" s="111">
        <f>E13-березень!E13</f>
        <v>755.0000000000002</v>
      </c>
      <c r="N13" s="179">
        <f>F13-березень!F13</f>
        <v>180.34000000000015</v>
      </c>
      <c r="O13" s="112">
        <f t="shared" si="4"/>
        <v>-574.6600000000001</v>
      </c>
      <c r="P13" s="42">
        <f t="shared" si="5"/>
        <v>23.8860927152318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F14-2731.87</f>
        <v>-1542.06</v>
      </c>
      <c r="L14" s="112">
        <f>F14/2731.87*100</f>
        <v>43.55295090908425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18473.96</v>
      </c>
      <c r="G19" s="36">
        <f t="shared" si="0"/>
        <v>-10086.440000000002</v>
      </c>
      <c r="H19" s="32">
        <f t="shared" si="1"/>
        <v>64.68382795759162</v>
      </c>
      <c r="I19" s="42">
        <f t="shared" si="2"/>
        <v>-91426.04000000001</v>
      </c>
      <c r="J19" s="42">
        <f t="shared" si="3"/>
        <v>16.809790718835306</v>
      </c>
      <c r="K19" s="185">
        <f>F19-16357.62</f>
        <v>2116.3399999999983</v>
      </c>
      <c r="L19" s="185">
        <f>F19/16357.62*100</f>
        <v>112.93794574027271</v>
      </c>
      <c r="M19" s="32">
        <f>E19-березень!E19</f>
        <v>8500</v>
      </c>
      <c r="N19" s="178">
        <f>F19-березень!F19</f>
        <v>203.0699999999997</v>
      </c>
      <c r="O19" s="40">
        <f t="shared" si="4"/>
        <v>-8296.93</v>
      </c>
      <c r="P19" s="42">
        <f t="shared" si="5"/>
        <v>2.3890588235294086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86605.45</v>
      </c>
      <c r="G20" s="36">
        <f t="shared" si="0"/>
        <v>-10595.560000000012</v>
      </c>
      <c r="H20" s="32">
        <f t="shared" si="1"/>
        <v>89.09933137526039</v>
      </c>
      <c r="I20" s="42">
        <f t="shared" si="2"/>
        <v>-184334.55</v>
      </c>
      <c r="J20" s="42">
        <f t="shared" si="3"/>
        <v>31.964807706503283</v>
      </c>
      <c r="K20" s="132">
        <f>F20-70294.13</f>
        <v>16311.319999999992</v>
      </c>
      <c r="L20" s="132">
        <f>F20/70294.13*100</f>
        <v>123.20438420676092</v>
      </c>
      <c r="M20" s="32">
        <f>M21+M25+M26+M27</f>
        <v>23050.5</v>
      </c>
      <c r="N20" s="178">
        <f>F20-березень!F20</f>
        <v>7661.359999999986</v>
      </c>
      <c r="O20" s="40">
        <f t="shared" si="4"/>
        <v>-15389.140000000014</v>
      </c>
      <c r="P20" s="42">
        <f t="shared" si="5"/>
        <v>33.23728335610935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43043.65</v>
      </c>
      <c r="G21" s="36">
        <f t="shared" si="0"/>
        <v>-8642.61</v>
      </c>
      <c r="H21" s="32">
        <f t="shared" si="1"/>
        <v>83.27870888704271</v>
      </c>
      <c r="I21" s="42">
        <f t="shared" si="2"/>
        <v>-118356.35</v>
      </c>
      <c r="J21" s="42">
        <f t="shared" si="3"/>
        <v>26.668928128872366</v>
      </c>
      <c r="K21" s="132">
        <f>F21-37283.9</f>
        <v>5759.75</v>
      </c>
      <c r="L21" s="132">
        <f>F21/37283.9*100</f>
        <v>115.44835706565033</v>
      </c>
      <c r="M21" s="32">
        <f>M22+M23+M24</f>
        <v>14845</v>
      </c>
      <c r="N21" s="178">
        <f>F21-березень!F21</f>
        <v>2655.540000000001</v>
      </c>
      <c r="O21" s="40">
        <f t="shared" si="4"/>
        <v>-12189.46</v>
      </c>
      <c r="P21" s="42">
        <f t="shared" si="5"/>
        <v>17.888447288649385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4943.95</v>
      </c>
      <c r="G22" s="109">
        <f>F22-E22</f>
        <v>-1687.6500000000005</v>
      </c>
      <c r="H22" s="111">
        <f t="shared" si="1"/>
        <v>74.55139031304661</v>
      </c>
      <c r="I22" s="110">
        <f t="shared" si="2"/>
        <v>-13556.05</v>
      </c>
      <c r="J22" s="110">
        <f t="shared" si="3"/>
        <v>26.724054054054054</v>
      </c>
      <c r="K22" s="174">
        <f>F22-4219.07</f>
        <v>724.8800000000001</v>
      </c>
      <c r="L22" s="174">
        <f>F22/4219.07*100</f>
        <v>117.18103752722757</v>
      </c>
      <c r="M22" s="111">
        <f>E22-березень!E22</f>
        <v>3100.0000000000005</v>
      </c>
      <c r="N22" s="179">
        <f>F22-березень!F22</f>
        <v>749.0599999999995</v>
      </c>
      <c r="O22" s="112">
        <f t="shared" si="4"/>
        <v>-2350.940000000001</v>
      </c>
      <c r="P22" s="110">
        <f t="shared" si="5"/>
        <v>24.163225806451592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328.24</v>
      </c>
      <c r="G23" s="109">
        <f>F23-E23</f>
        <v>51.400000000000034</v>
      </c>
      <c r="H23" s="111">
        <f t="shared" si="1"/>
        <v>118.56668111544575</v>
      </c>
      <c r="I23" s="110">
        <f t="shared" si="2"/>
        <v>-2471.76</v>
      </c>
      <c r="J23" s="110">
        <f t="shared" si="3"/>
        <v>11.722857142857142</v>
      </c>
      <c r="K23" s="110">
        <f>F23-141.72</f>
        <v>186.52</v>
      </c>
      <c r="L23" s="110">
        <f>F23/141.72*100</f>
        <v>231.61162856336438</v>
      </c>
      <c r="M23" s="111">
        <f>E23-березень!E23</f>
        <v>74.99999999999997</v>
      </c>
      <c r="N23" s="179">
        <f>F23-березень!F23</f>
        <v>14.360000000000014</v>
      </c>
      <c r="O23" s="112">
        <f t="shared" si="4"/>
        <v>-60.63999999999996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37771.46</v>
      </c>
      <c r="G24" s="109">
        <f>F24-E24</f>
        <v>-7006.360000000001</v>
      </c>
      <c r="H24" s="111">
        <f t="shared" si="1"/>
        <v>84.35305693756418</v>
      </c>
      <c r="I24" s="110">
        <f t="shared" si="2"/>
        <v>-102328.54000000001</v>
      </c>
      <c r="J24" s="110">
        <f t="shared" si="3"/>
        <v>26.960356887937188</v>
      </c>
      <c r="K24" s="174">
        <f>F24-32923.11</f>
        <v>4848.3499999999985</v>
      </c>
      <c r="L24" s="174">
        <f>F24/32923.11*100</f>
        <v>114.72628193387561</v>
      </c>
      <c r="M24" s="111">
        <f>E24-березень!E24</f>
        <v>11670</v>
      </c>
      <c r="N24" s="179">
        <f>F24-березень!F24</f>
        <v>1892.1200000000026</v>
      </c>
      <c r="O24" s="112">
        <f t="shared" si="4"/>
        <v>-9777.879999999997</v>
      </c>
      <c r="P24" s="110">
        <f t="shared" si="5"/>
        <v>16.21353898886035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24.96</v>
      </c>
      <c r="G25" s="36">
        <f>F25-E25</f>
        <v>5.449999999999999</v>
      </c>
      <c r="H25" s="32">
        <f t="shared" si="1"/>
        <v>127.93439261916966</v>
      </c>
      <c r="I25" s="42">
        <f t="shared" si="2"/>
        <v>-52.04</v>
      </c>
      <c r="J25" s="42">
        <f t="shared" si="3"/>
        <v>32.41558441558441</v>
      </c>
      <c r="K25" s="132">
        <f>F25-23.16</f>
        <v>1.8000000000000007</v>
      </c>
      <c r="L25" s="132">
        <f>F25/23.16*100</f>
        <v>107.7720207253886</v>
      </c>
      <c r="M25" s="32">
        <f>E25-березень!E25</f>
        <v>5.500000000000002</v>
      </c>
      <c r="N25" s="178">
        <f>F25-березень!F25</f>
        <v>0.15000000000000213</v>
      </c>
      <c r="O25" s="40">
        <f t="shared" si="4"/>
        <v>-5.35</v>
      </c>
      <c r="P25" s="42">
        <f t="shared" si="5"/>
        <v>2.7272727272727653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-103.04</v>
      </c>
      <c r="G26" s="36">
        <f aca="true" t="shared" si="6" ref="G26:G32">F26-E26</f>
        <v>-103.04</v>
      </c>
      <c r="H26" s="32"/>
      <c r="I26" s="42">
        <f t="shared" si="2"/>
        <v>-103.04</v>
      </c>
      <c r="J26" s="42"/>
      <c r="K26" s="132">
        <f>F26-(-59.24)</f>
        <v>-43.800000000000004</v>
      </c>
      <c r="L26" s="132">
        <f>F26/(-59.24)*100</f>
        <v>173.93652937204592</v>
      </c>
      <c r="M26" s="32">
        <f>E26-березень!E26</f>
        <v>0</v>
      </c>
      <c r="N26" s="178">
        <f>F26-березень!F26</f>
        <v>-21.5</v>
      </c>
      <c r="O26" s="40">
        <f t="shared" si="4"/>
        <v>-21.5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43639.88</v>
      </c>
      <c r="G27" s="36">
        <f t="shared" si="6"/>
        <v>-1855.3600000000006</v>
      </c>
      <c r="H27" s="32">
        <f t="shared" si="1"/>
        <v>95.92185907800464</v>
      </c>
      <c r="I27" s="42">
        <f t="shared" si="2"/>
        <v>-65823.12</v>
      </c>
      <c r="J27" s="42">
        <f t="shared" si="3"/>
        <v>39.86724281263989</v>
      </c>
      <c r="K27" s="106">
        <f>F27-33046.32</f>
        <v>10593.559999999998</v>
      </c>
      <c r="L27" s="106">
        <f>F27/33046.32*100</f>
        <v>132.05670101844925</v>
      </c>
      <c r="M27" s="32">
        <f>E27-березень!E27</f>
        <v>8200</v>
      </c>
      <c r="N27" s="178">
        <f>F27-березень!F27</f>
        <v>5027.169999999998</v>
      </c>
      <c r="O27" s="40">
        <f t="shared" si="4"/>
        <v>-3172.8300000000017</v>
      </c>
      <c r="P27" s="42">
        <f>N27/M27*100</f>
        <v>61.30695121951217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10411.78</v>
      </c>
      <c r="G29" s="109">
        <f t="shared" si="6"/>
        <v>-844.1899999999987</v>
      </c>
      <c r="H29" s="111">
        <f t="shared" si="1"/>
        <v>92.50006885235125</v>
      </c>
      <c r="I29" s="110">
        <f t="shared" si="2"/>
        <v>-17188.22</v>
      </c>
      <c r="J29" s="110">
        <f t="shared" si="3"/>
        <v>37.72384057971015</v>
      </c>
      <c r="K29" s="142">
        <f>F29-8182.41</f>
        <v>2229.370000000001</v>
      </c>
      <c r="L29" s="142">
        <f>F29/8182.41*100</f>
        <v>127.24588476989054</v>
      </c>
      <c r="M29" s="111">
        <f>E29-березень!E29</f>
        <v>1900</v>
      </c>
      <c r="N29" s="179">
        <f>F29-березень!F29</f>
        <v>599.2900000000009</v>
      </c>
      <c r="O29" s="112">
        <f t="shared" si="4"/>
        <v>-1300.7099999999991</v>
      </c>
      <c r="P29" s="110">
        <f>N29/M29*100</f>
        <v>31.541578947368464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33220.22</v>
      </c>
      <c r="G30" s="109">
        <f t="shared" si="6"/>
        <v>-1015.8600000000006</v>
      </c>
      <c r="H30" s="111">
        <f t="shared" si="1"/>
        <v>97.03277945372251</v>
      </c>
      <c r="I30" s="110">
        <f t="shared" si="2"/>
        <v>-48591.78</v>
      </c>
      <c r="J30" s="110">
        <f t="shared" si="3"/>
        <v>40.60555908668655</v>
      </c>
      <c r="K30" s="142">
        <f>F30-24859.36</f>
        <v>8360.86</v>
      </c>
      <c r="L30" s="142">
        <f>F30/24859.36*100</f>
        <v>133.63264380096672</v>
      </c>
      <c r="M30" s="111">
        <f>E30-березень!E30</f>
        <v>6300</v>
      </c>
      <c r="N30" s="179">
        <f>F30-березень!F30</f>
        <v>4427.84</v>
      </c>
      <c r="O30" s="112">
        <f t="shared" si="4"/>
        <v>-1872.1599999999999</v>
      </c>
      <c r="P30" s="110">
        <f>N30/M30*100</f>
        <v>70.2831746031746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15794.68</v>
      </c>
      <c r="G33" s="15">
        <f>G34+G35+G36+G37+G38+G39+G41+G42+G43+G44+G45+G50+G51+G55</f>
        <v>1548.6699999999994</v>
      </c>
      <c r="H33" s="38">
        <f>F33/E33*100</f>
        <v>110.87074785045378</v>
      </c>
      <c r="I33" s="28">
        <f>F33-D33</f>
        <v>-27025.32</v>
      </c>
      <c r="J33" s="28">
        <f>F33/D33*100</f>
        <v>36.88622139187296</v>
      </c>
      <c r="K33" s="15">
        <f>F33-10433.59</f>
        <v>5361.09</v>
      </c>
      <c r="L33" s="15">
        <f>F33/10433.59*100</f>
        <v>151.38298514701077</v>
      </c>
      <c r="M33" s="15">
        <f>M34+M35+M36+M37+M38+M39+M41+M42+M43+M44+M45+M50+M51+M55</f>
        <v>3735.999</v>
      </c>
      <c r="N33" s="15">
        <f>N34+N35+N36+N37+N38+N39+N41+N42+N43+N44+N45+N50+N51+N55</f>
        <v>5122.41</v>
      </c>
      <c r="O33" s="15">
        <f>O34+O35+O36+O37+O38+O39+O41+O42+O43+O44+O45+O50+O51+O55</f>
        <v>1386.4109999999998</v>
      </c>
      <c r="P33" s="15">
        <f>N33/M33*100</f>
        <v>137.10951207428056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28.38</v>
      </c>
      <c r="G38" s="36">
        <f t="shared" si="9"/>
        <v>-11.620000000000001</v>
      </c>
      <c r="H38" s="32">
        <f t="shared" si="7"/>
        <v>70.95</v>
      </c>
      <c r="I38" s="42">
        <f t="shared" si="10"/>
        <v>-121.62</v>
      </c>
      <c r="J38" s="42">
        <f t="shared" si="12"/>
        <v>18.92</v>
      </c>
      <c r="K38" s="42">
        <f>F38-41.25</f>
        <v>-12.870000000000001</v>
      </c>
      <c r="L38" s="42">
        <f>F38/41.25*100</f>
        <v>68.8</v>
      </c>
      <c r="M38" s="32">
        <f>E38-березень!E38</f>
        <v>10</v>
      </c>
      <c r="N38" s="178">
        <f>F38-березень!F38</f>
        <v>7.98</v>
      </c>
      <c r="O38" s="40">
        <f t="shared" si="11"/>
        <v>-2.0199999999999996</v>
      </c>
      <c r="P38" s="42">
        <f t="shared" si="8"/>
        <v>79.80000000000001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2687.68</v>
      </c>
      <c r="G41" s="36">
        <f t="shared" si="9"/>
        <v>-251.34000000000015</v>
      </c>
      <c r="H41" s="32">
        <f t="shared" si="7"/>
        <v>91.44816979809596</v>
      </c>
      <c r="I41" s="42">
        <f t="shared" si="10"/>
        <v>-7212.32</v>
      </c>
      <c r="J41" s="42">
        <f t="shared" si="12"/>
        <v>27.148282828282827</v>
      </c>
      <c r="K41" s="42">
        <f>F41-3348.03</f>
        <v>-660.3500000000004</v>
      </c>
      <c r="L41" s="42">
        <f>F41/3348.03*100</f>
        <v>80.27646108308467</v>
      </c>
      <c r="M41" s="32">
        <f>E41-березень!E41</f>
        <v>800</v>
      </c>
      <c r="N41" s="178">
        <f>F41-березень!F41</f>
        <v>348.0999999999999</v>
      </c>
      <c r="O41" s="40">
        <f t="shared" si="11"/>
        <v>-451.9000000000001</v>
      </c>
      <c r="P41" s="42">
        <f t="shared" si="8"/>
        <v>43.51249999999999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1728.03</v>
      </c>
      <c r="G45" s="36">
        <f t="shared" si="9"/>
        <v>-286.1600000000001</v>
      </c>
      <c r="H45" s="32">
        <f t="shared" si="7"/>
        <v>85.79280008340821</v>
      </c>
      <c r="I45" s="42">
        <f t="shared" si="10"/>
        <v>-5571.97</v>
      </c>
      <c r="J45" s="42">
        <f t="shared" si="12"/>
        <v>23.671643835616436</v>
      </c>
      <c r="K45" s="132">
        <f>F45-2831.1</f>
        <v>-1103.07</v>
      </c>
      <c r="L45" s="132">
        <f>F45/2831.1*100</f>
        <v>61.037405955282395</v>
      </c>
      <c r="M45" s="32">
        <f>E45-березень!E45</f>
        <v>641</v>
      </c>
      <c r="N45" s="178">
        <f>F45-березень!F45</f>
        <v>227.93000000000006</v>
      </c>
      <c r="O45" s="40">
        <f t="shared" si="11"/>
        <v>-413.06999999999994</v>
      </c>
      <c r="P45" s="132">
        <f t="shared" si="8"/>
        <v>35.55850234009361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193.26</v>
      </c>
      <c r="G46" s="36">
        <f t="shared" si="9"/>
        <v>-95.73000000000002</v>
      </c>
      <c r="H46" s="32">
        <f t="shared" si="7"/>
        <v>66.87428630748468</v>
      </c>
      <c r="I46" s="110">
        <f t="shared" si="10"/>
        <v>-906.74</v>
      </c>
      <c r="J46" s="110">
        <f t="shared" si="12"/>
        <v>17.56909090909091</v>
      </c>
      <c r="K46" s="110">
        <f>F46-319.39</f>
        <v>-126.13</v>
      </c>
      <c r="L46" s="110">
        <f>F46/319.39*100</f>
        <v>60.50909546322678</v>
      </c>
      <c r="M46" s="111">
        <f>E46-березень!E46</f>
        <v>100</v>
      </c>
      <c r="N46" s="179">
        <f>F46-березень!F46</f>
        <v>29.579999999999984</v>
      </c>
      <c r="O46" s="112">
        <f t="shared" si="11"/>
        <v>-70.42000000000002</v>
      </c>
      <c r="P46" s="132">
        <f t="shared" si="8"/>
        <v>29.579999999999984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1534.65</v>
      </c>
      <c r="G49" s="36">
        <f t="shared" si="9"/>
        <v>-187.51999999999998</v>
      </c>
      <c r="H49" s="32">
        <f t="shared" si="7"/>
        <v>89.11141176538902</v>
      </c>
      <c r="I49" s="110">
        <f t="shared" si="10"/>
        <v>-4619.35</v>
      </c>
      <c r="J49" s="110">
        <f t="shared" si="12"/>
        <v>24.9374390640234</v>
      </c>
      <c r="K49" s="110">
        <f>F49-2466.52</f>
        <v>-931.8699999999999</v>
      </c>
      <c r="L49" s="110">
        <f>F49/2466.52*100</f>
        <v>62.219240062922665</v>
      </c>
      <c r="M49" s="111">
        <f>E49-березень!E49</f>
        <v>540</v>
      </c>
      <c r="N49" s="179">
        <f>F49-березень!F49</f>
        <v>198.35000000000014</v>
      </c>
      <c r="O49" s="112">
        <f t="shared" si="11"/>
        <v>-341.64999999999986</v>
      </c>
      <c r="P49" s="132">
        <f t="shared" si="8"/>
        <v>36.73148148148151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1806.95</v>
      </c>
      <c r="G51" s="36">
        <f t="shared" si="9"/>
        <v>328.97</v>
      </c>
      <c r="H51" s="32">
        <f t="shared" si="7"/>
        <v>122.25808197675205</v>
      </c>
      <c r="I51" s="42">
        <f t="shared" si="10"/>
        <v>-2993.05</v>
      </c>
      <c r="J51" s="42">
        <f t="shared" si="12"/>
        <v>37.64479166666666</v>
      </c>
      <c r="K51" s="42">
        <f>F51-1435.76</f>
        <v>371.19000000000005</v>
      </c>
      <c r="L51" s="42">
        <f>F51/1435.76*100</f>
        <v>125.85320666406643</v>
      </c>
      <c r="M51" s="32">
        <f>E51-березень!E51</f>
        <v>470</v>
      </c>
      <c r="N51" s="178">
        <f>F51-березень!F51</f>
        <v>692.1100000000001</v>
      </c>
      <c r="O51" s="40">
        <f t="shared" si="11"/>
        <v>222.11000000000013</v>
      </c>
      <c r="P51" s="42">
        <f t="shared" si="8"/>
        <v>147.25744680851068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341.7</v>
      </c>
      <c r="G53" s="36"/>
      <c r="H53" s="32"/>
      <c r="I53" s="42"/>
      <c r="J53" s="42"/>
      <c r="K53" s="112">
        <f>F53-313.7</f>
        <v>28</v>
      </c>
      <c r="L53" s="112">
        <f>F53/313.7*100</f>
        <v>108.92572521517374</v>
      </c>
      <c r="M53" s="32">
        <f>E53-березень!E53</f>
        <v>0</v>
      </c>
      <c r="N53" s="179">
        <f>F53-березень!F53</f>
        <v>113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250198.24999999997</v>
      </c>
      <c r="G58" s="37">
        <f>F58-E58</f>
        <v>-35730.05999999997</v>
      </c>
      <c r="H58" s="38">
        <f>F58/E58*100</f>
        <v>87.50383968624863</v>
      </c>
      <c r="I58" s="28">
        <f>F58-D58</f>
        <v>-633702.35</v>
      </c>
      <c r="J58" s="28">
        <f>F58/D58*100</f>
        <v>28.306152298120395</v>
      </c>
      <c r="K58" s="28">
        <f>F58-208977.28</f>
        <v>41220.96999999997</v>
      </c>
      <c r="L58" s="28">
        <f>F58/208977.28*100</f>
        <v>119.7250964315355</v>
      </c>
      <c r="M58" s="15">
        <f>M8+M33+M56+M57</f>
        <v>75098.79899999998</v>
      </c>
      <c r="N58" s="15">
        <f>N8+N33+N56+N57</f>
        <v>29732.46999999998</v>
      </c>
      <c r="O58" s="41">
        <f>N58-M58</f>
        <v>-45366.329000000005</v>
      </c>
      <c r="P58" s="28">
        <f>N58/M58*100</f>
        <v>39.5911391339294</v>
      </c>
      <c r="Q58" s="28">
        <f>N58-34768</f>
        <v>-5035.530000000021</v>
      </c>
      <c r="R58" s="128">
        <f>N58/34768</f>
        <v>0.8551676829268287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99.01</v>
      </c>
      <c r="G67" s="36">
        <f aca="true" t="shared" si="13" ref="G67:G77">F67-E67</f>
        <v>-267.59000000000003</v>
      </c>
      <c r="H67" s="32"/>
      <c r="I67" s="43">
        <f aca="true" t="shared" si="14" ref="I67:I77">F67-D67</f>
        <v>-4100.99</v>
      </c>
      <c r="J67" s="43">
        <f>F67/D67*100</f>
        <v>2.3573809523809524</v>
      </c>
      <c r="K67" s="43">
        <f>F67-91.72</f>
        <v>7.290000000000006</v>
      </c>
      <c r="L67" s="43">
        <f>F67/91.72*100</f>
        <v>107.94810292193633</v>
      </c>
      <c r="M67" s="32">
        <f>E67-березень!E67</f>
        <v>294.6</v>
      </c>
      <c r="N67" s="178">
        <f>F67-березень!F67</f>
        <v>98.86</v>
      </c>
      <c r="O67" s="40">
        <f aca="true" t="shared" si="15" ref="O67:O80">N67-M67</f>
        <v>-195.74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450.48</v>
      </c>
      <c r="G68" s="36">
        <f t="shared" si="13"/>
        <v>-1183.53</v>
      </c>
      <c r="H68" s="32">
        <f>F68/E68*100</f>
        <v>27.56898672590743</v>
      </c>
      <c r="I68" s="43">
        <f t="shared" si="14"/>
        <v>-7008.52</v>
      </c>
      <c r="J68" s="43">
        <f>F68/D68*100</f>
        <v>6.039415471242794</v>
      </c>
      <c r="K68" s="43">
        <f>F68-1938.06</f>
        <v>-1487.58</v>
      </c>
      <c r="L68" s="43">
        <f>F68/1938.06*100</f>
        <v>23.243862419120155</v>
      </c>
      <c r="M68" s="32">
        <f>E68-березень!E68</f>
        <v>242.5999999999999</v>
      </c>
      <c r="N68" s="178">
        <f>F68-березень!F68</f>
        <v>131.84000000000003</v>
      </c>
      <c r="O68" s="40">
        <f t="shared" si="15"/>
        <v>-110.75999999999988</v>
      </c>
      <c r="P68" s="43">
        <f>N68/M68*100</f>
        <v>54.3446001648805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F69-34.14</f>
        <v>7923.54</v>
      </c>
      <c r="L69" s="43">
        <f>F69/34.14*100</f>
        <v>23308.96309314587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8511.17</v>
      </c>
      <c r="G71" s="45">
        <f t="shared" si="13"/>
        <v>5317.71</v>
      </c>
      <c r="H71" s="52">
        <f>F71/E71*100</f>
        <v>266.5187602161919</v>
      </c>
      <c r="I71" s="44">
        <f t="shared" si="14"/>
        <v>-9159.83</v>
      </c>
      <c r="J71" s="44">
        <f>F71/D71*100</f>
        <v>48.164619998868204</v>
      </c>
      <c r="K71" s="44">
        <f>F71-1938.06</f>
        <v>6573.110000000001</v>
      </c>
      <c r="L71" s="44">
        <f>F71/1938.06*100</f>
        <v>439.15926235513865</v>
      </c>
      <c r="M71" s="45">
        <f>M67+M68+M69+M70</f>
        <v>840.1999999999998</v>
      </c>
      <c r="N71" s="183">
        <f>N67+N68+N69+N70</f>
        <v>232.2900000000002</v>
      </c>
      <c r="O71" s="44">
        <f t="shared" si="15"/>
        <v>-607.9099999999996</v>
      </c>
      <c r="P71" s="44">
        <f>N71/M71*100</f>
        <v>27.6469888121876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0.61</v>
      </c>
      <c r="G72" s="36">
        <f t="shared" si="13"/>
        <v>0.61</v>
      </c>
      <c r="H72" s="32"/>
      <c r="I72" s="43">
        <f t="shared" si="14"/>
        <v>-0.39</v>
      </c>
      <c r="J72" s="43"/>
      <c r="K72" s="43">
        <f>F72-0</f>
        <v>0.61</v>
      </c>
      <c r="L72" s="43"/>
      <c r="M72" s="32">
        <f>E72-березень!E72</f>
        <v>0</v>
      </c>
      <c r="N72" s="178">
        <f>F72-березень!F72</f>
        <v>0.16999999999999998</v>
      </c>
      <c r="O72" s="40">
        <f t="shared" si="15"/>
        <v>0.16999999999999998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2023.31</v>
      </c>
      <c r="G74" s="36">
        <f t="shared" si="13"/>
        <v>2.6099999999999</v>
      </c>
      <c r="H74" s="32">
        <f>F74/E74*100</f>
        <v>100.12916316128073</v>
      </c>
      <c r="I74" s="43">
        <f t="shared" si="14"/>
        <v>-7476.6900000000005</v>
      </c>
      <c r="J74" s="40">
        <f>F74/D74*100</f>
        <v>21.298000000000002</v>
      </c>
      <c r="K74" s="40">
        <f>F74-0</f>
        <v>2023.31</v>
      </c>
      <c r="L74" s="43"/>
      <c r="M74" s="32">
        <f>E74-березень!E74</f>
        <v>15</v>
      </c>
      <c r="N74" s="178">
        <f>F74-березень!F74</f>
        <v>4.309999999999945</v>
      </c>
      <c r="O74" s="40">
        <f>N74-M74</f>
        <v>-10.690000000000055</v>
      </c>
      <c r="P74" s="46">
        <f>N74/M74*100</f>
        <v>28.733333333332972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2024.32</v>
      </c>
      <c r="G76" s="30">
        <f>G72+G75+G73+G74</f>
        <v>3.6199999999998997</v>
      </c>
      <c r="H76" s="52">
        <f>F76/E76*100</f>
        <v>100.1791458405503</v>
      </c>
      <c r="I76" s="44">
        <f t="shared" si="14"/>
        <v>-7476.68</v>
      </c>
      <c r="J76" s="44">
        <f>F76/D76*100</f>
        <v>21.306388801178823</v>
      </c>
      <c r="K76" s="44">
        <f>F76-0.7</f>
        <v>2023.62</v>
      </c>
      <c r="L76" s="44">
        <f>F76/0.7*100</f>
        <v>289188.5714285715</v>
      </c>
      <c r="M76" s="45">
        <f>M72+M75+M73+M74</f>
        <v>15</v>
      </c>
      <c r="N76" s="183">
        <f>N72+N75+N73+N74</f>
        <v>4.479999999999945</v>
      </c>
      <c r="O76" s="45">
        <f>O72+O75+O73+O74</f>
        <v>-10.520000000000055</v>
      </c>
      <c r="P76" s="44">
        <f>N76/M76*100</f>
        <v>29.8666666666663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10544.41</v>
      </c>
      <c r="G79" s="37">
        <f>F79-E79</f>
        <v>5317.11</v>
      </c>
      <c r="H79" s="38">
        <f>F79/E79*100</f>
        <v>201.71809538385017</v>
      </c>
      <c r="I79" s="28">
        <f>F79-D79</f>
        <v>-16670.59</v>
      </c>
      <c r="J79" s="28">
        <f>F79/D79*100</f>
        <v>38.744846591952964</v>
      </c>
      <c r="K79" s="28">
        <f>F79-2072.3</f>
        <v>8472.11</v>
      </c>
      <c r="L79" s="28">
        <f>F79/2072.3*100</f>
        <v>508.8264247454519</v>
      </c>
      <c r="M79" s="24">
        <f>M65+M77+M71+M76</f>
        <v>855.6299999999998</v>
      </c>
      <c r="N79" s="24">
        <f>N65+N77+N71+N76+N78</f>
        <v>236.77000000000012</v>
      </c>
      <c r="O79" s="28">
        <f t="shared" si="15"/>
        <v>-618.8599999999997</v>
      </c>
      <c r="P79" s="28">
        <f>N79/M79*100</f>
        <v>27.67200776036373</v>
      </c>
      <c r="Q79" s="28">
        <f>N79-8104.96</f>
        <v>-7868.19</v>
      </c>
      <c r="R79" s="101">
        <f>N79/8104.96</f>
        <v>0.029212975758054344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260742.65999999997</v>
      </c>
      <c r="G80" s="37">
        <f>F80-E80</f>
        <v>-30412.949999999953</v>
      </c>
      <c r="H80" s="38">
        <f>F80/E80*100</f>
        <v>89.55440013675164</v>
      </c>
      <c r="I80" s="28">
        <f>F80-D80</f>
        <v>-650372.94</v>
      </c>
      <c r="J80" s="28">
        <f>F80/D80*100</f>
        <v>28.61795583348589</v>
      </c>
      <c r="K80" s="28">
        <f>F80-211049.59</f>
        <v>49693.06999999998</v>
      </c>
      <c r="L80" s="28">
        <f>F80/211049.59*100</f>
        <v>123.54568421573336</v>
      </c>
      <c r="M80" s="15">
        <f>M58+M79</f>
        <v>75954.42899999999</v>
      </c>
      <c r="N80" s="15">
        <f>N58+N79</f>
        <v>29969.23999999998</v>
      </c>
      <c r="O80" s="28">
        <f t="shared" si="15"/>
        <v>-45985.18900000001</v>
      </c>
      <c r="P80" s="28">
        <f>N80/M80*100</f>
        <v>39.456869592160295</v>
      </c>
      <c r="Q80" s="28">
        <f>N80-42872.96</f>
        <v>-12903.72000000002</v>
      </c>
      <c r="R80" s="101">
        <f>N80/42872.96</f>
        <v>0.6990242801056885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11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4124.211727272727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42474</v>
      </c>
      <c r="D84" s="31">
        <v>3893.7</v>
      </c>
      <c r="G84" s="4" t="s">
        <v>59</v>
      </c>
      <c r="N84" s="216"/>
      <c r="O84" s="216"/>
    </row>
    <row r="85" spans="3:15" ht="15">
      <c r="C85" s="87">
        <v>42473</v>
      </c>
      <c r="D85" s="31">
        <v>1718.4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42472</v>
      </c>
      <c r="D86" s="31">
        <v>2489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99.23137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18" sqref="M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228.7</v>
      </c>
      <c r="G53" s="36"/>
      <c r="H53" s="32"/>
      <c r="I53" s="42"/>
      <c r="J53" s="42"/>
      <c r="K53" s="112">
        <f>F53-239.6</f>
        <v>-10.900000000000006</v>
      </c>
      <c r="L53" s="112">
        <f>F53/239.6*100</f>
        <v>95.4507512520868</v>
      </c>
      <c r="M53" s="111"/>
      <c r="N53" s="179">
        <f>F53-лютий!F53</f>
        <v>81.39999999999998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2016-04-14T07:30:08Z</cp:lastPrinted>
  <dcterms:created xsi:type="dcterms:W3CDTF">2003-07-28T11:27:56Z</dcterms:created>
  <dcterms:modified xsi:type="dcterms:W3CDTF">2016-04-15T08:27:47Z</dcterms:modified>
  <cp:category/>
  <cp:version/>
  <cp:contentType/>
  <cp:contentStatus/>
</cp:coreProperties>
</file>